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activeTab="1"/>
  </bookViews>
  <sheets>
    <sheet name="Budget" sheetId="1" r:id="rId1"/>
    <sheet name="Budget (2)" sheetId="4" r:id="rId2"/>
    <sheet name="Feuil2" sheetId="2" r:id="rId3"/>
    <sheet name="Feuil3" sheetId="3" r:id="rId4"/>
  </sheets>
  <definedNames>
    <definedName name="OLE_LINK1" localSheetId="1">'Budget (2)'!$A$50</definedName>
    <definedName name="_xlnm.Print_Area" localSheetId="0">Budget!$A$1:$I$43</definedName>
    <definedName name="_xlnm.Print_Area" localSheetId="1">'Budget (2)'!$A$1:$I$43</definedName>
    <definedName name="_xlnm.Print_Titles" localSheetId="0">Budget!$8:$9</definedName>
    <definedName name="_xlnm.Print_Titles" localSheetId="1">'Budget (2)'!$8:$9</definedName>
  </definedNames>
  <calcPr calcId="125725"/>
</workbook>
</file>

<file path=xl/calcChain.xml><?xml version="1.0" encoding="utf-8"?>
<calcChain xmlns="http://schemas.openxmlformats.org/spreadsheetml/2006/main">
  <c r="F16" i="4"/>
  <c r="F70"/>
  <c r="F69"/>
  <c r="F68"/>
  <c r="F67"/>
  <c r="F66"/>
  <c r="F64"/>
  <c r="F63"/>
  <c r="F62"/>
  <c r="F61"/>
  <c r="F59"/>
  <c r="F58"/>
  <c r="F57"/>
  <c r="E67"/>
  <c r="D67"/>
  <c r="E66"/>
  <c r="D66"/>
  <c r="E64"/>
  <c r="E63"/>
  <c r="E62"/>
  <c r="E61"/>
  <c r="E59"/>
  <c r="E57"/>
  <c r="E58"/>
  <c r="K8"/>
  <c r="H29" s="1"/>
  <c r="F29"/>
  <c r="E29"/>
  <c r="H25"/>
  <c r="F25"/>
  <c r="E25"/>
  <c r="H19"/>
  <c r="H16"/>
  <c r="G10"/>
  <c r="H12"/>
  <c r="F12"/>
  <c r="E12"/>
  <c r="F11"/>
  <c r="H11" s="1"/>
  <c r="E11"/>
  <c r="H28" l="1"/>
  <c r="I28" s="1"/>
  <c r="I27" s="1"/>
  <c r="H30"/>
  <c r="I30" s="1"/>
  <c r="H15"/>
  <c r="H22"/>
  <c r="I25"/>
  <c r="K33" i="1"/>
  <c r="G30" i="4"/>
  <c r="I29"/>
  <c r="G29"/>
  <c r="G28"/>
  <c r="G25"/>
  <c r="I22"/>
  <c r="I21" s="1"/>
  <c r="G22"/>
  <c r="G21" s="1"/>
  <c r="I19"/>
  <c r="I18" s="1"/>
  <c r="G19"/>
  <c r="G18" s="1"/>
  <c r="I16"/>
  <c r="G16"/>
  <c r="I15"/>
  <c r="G15"/>
  <c r="I12"/>
  <c r="I11"/>
  <c r="G11"/>
  <c r="I10" i="1"/>
  <c r="H25"/>
  <c r="E25"/>
  <c r="G25" s="1"/>
  <c r="H22"/>
  <c r="I22" s="1"/>
  <c r="I21" s="1"/>
  <c r="G22"/>
  <c r="G21" s="1"/>
  <c r="E29"/>
  <c r="G29" s="1"/>
  <c r="F12"/>
  <c r="E12"/>
  <c r="I12" s="1"/>
  <c r="H30"/>
  <c r="I30" s="1"/>
  <c r="G30"/>
  <c r="H29"/>
  <c r="H28"/>
  <c r="I28" s="1"/>
  <c r="G28"/>
  <c r="H19"/>
  <c r="I19" s="1"/>
  <c r="I18" s="1"/>
  <c r="G19"/>
  <c r="G18" s="1"/>
  <c r="H16"/>
  <c r="I16" s="1"/>
  <c r="G16"/>
  <c r="H15"/>
  <c r="I15" s="1"/>
  <c r="G15"/>
  <c r="H11"/>
  <c r="I11" s="1"/>
  <c r="G11"/>
  <c r="I14" i="4" l="1"/>
  <c r="I10"/>
  <c r="G27"/>
  <c r="G14"/>
  <c r="I24"/>
  <c r="G24"/>
  <c r="G12"/>
  <c r="G24" i="1"/>
  <c r="I25"/>
  <c r="I24" s="1"/>
  <c r="I29"/>
  <c r="I27" s="1"/>
  <c r="G14"/>
  <c r="G12"/>
  <c r="G10" s="1"/>
  <c r="G27"/>
  <c r="I14"/>
  <c r="I32" i="4" l="1"/>
  <c r="I34" s="1"/>
  <c r="G32"/>
  <c r="G34" s="1"/>
  <c r="I32" i="1"/>
  <c r="G32"/>
  <c r="G34" s="1"/>
  <c r="I34" s="1"/>
  <c r="I36" i="4" l="1"/>
  <c r="F71" s="1"/>
  <c r="G36"/>
  <c r="I36" i="1"/>
  <c r="G36"/>
</calcChain>
</file>

<file path=xl/sharedStrings.xml><?xml version="1.0" encoding="utf-8"?>
<sst xmlns="http://schemas.openxmlformats.org/spreadsheetml/2006/main" count="149" uniqueCount="93">
  <si>
    <t xml:space="preserve"> </t>
  </si>
  <si>
    <t>PROVISIONAL BUDGET</t>
  </si>
  <si>
    <t xml:space="preserve">No. </t>
  </si>
  <si>
    <t>Description</t>
  </si>
  <si>
    <t>Unit</t>
  </si>
  <si>
    <t># of Unit</t>
  </si>
  <si>
    <t>Amount CFA</t>
  </si>
  <si>
    <t>I</t>
  </si>
  <si>
    <t>Human Ressources</t>
  </si>
  <si>
    <t>per diem</t>
  </si>
  <si>
    <t>II</t>
  </si>
  <si>
    <t>Travel</t>
  </si>
  <si>
    <t>Per Flight</t>
  </si>
  <si>
    <t>III</t>
  </si>
  <si>
    <t>IV</t>
  </si>
  <si>
    <t>VISIBILITY</t>
  </si>
  <si>
    <t>Banners, vidéo and photocoverage, audiovisual coverage printing fastsheets, roll up banners</t>
  </si>
  <si>
    <t>Lump sum</t>
  </si>
  <si>
    <t>V</t>
  </si>
  <si>
    <t>INTERPRETATION</t>
  </si>
  <si>
    <t>VI</t>
  </si>
  <si>
    <t>COSTS OF CONFERENCE</t>
  </si>
  <si>
    <t>Lump Sum</t>
  </si>
  <si>
    <t xml:space="preserve">Visa </t>
  </si>
  <si>
    <t>Per Person</t>
  </si>
  <si>
    <t>SUB TOTAL</t>
  </si>
  <si>
    <t>Extras (5%)</t>
  </si>
  <si>
    <t>TOTAL</t>
  </si>
  <si>
    <t>Lambert Dénagnon TOSSA</t>
  </si>
  <si>
    <t>Le Directeur Général</t>
  </si>
  <si>
    <t>Dr André KAMGA FOAMOUHOUE</t>
  </si>
  <si>
    <t>Le Contrôleur du SAF</t>
  </si>
  <si>
    <t>Amount €</t>
  </si>
  <si>
    <t xml:space="preserve"> Unit. cost </t>
  </si>
  <si>
    <t>Total Amount</t>
  </si>
  <si>
    <t xml:space="preserve"> Unit. cost   </t>
  </si>
  <si>
    <t xml:space="preserve">Total Amount   </t>
  </si>
  <si>
    <t xml:space="preserve"> DSA for 15  participants for 7 nights (5 days for workshop)</t>
  </si>
  <si>
    <t xml:space="preserve">Ticket payment for 15 participants </t>
  </si>
  <si>
    <t>Local transport for the Participants</t>
  </si>
  <si>
    <t xml:space="preserve">Overhead costs </t>
  </si>
  <si>
    <t xml:space="preserve">Conference  room for 5 days and consommables </t>
  </si>
  <si>
    <t>Coffee break and Water 2 per days for 5 day for 15 Participants</t>
  </si>
  <si>
    <t>Interpertation equipment rent and honorary for 2 Persons for 5 days</t>
  </si>
  <si>
    <t>Date of preparation : June 07, 2019</t>
  </si>
  <si>
    <t>Photocopies and office supplies, Training materials (Stationary)</t>
  </si>
  <si>
    <t>Staff Cost in STE (2 Trainers Costs and 1 Finance Officer Cost)</t>
  </si>
  <si>
    <t xml:space="preserve">CENTRE  AFRICAIN  POUR LES  APPLICATIONS </t>
  </si>
  <si>
    <t>DE  LA METEOROLOGIE AU  DEVELOPPEMENT</t>
  </si>
  <si>
    <t>AFRICAN   CENTRE   OF   METEOROLOGICAL</t>
  </si>
  <si>
    <t xml:space="preserve"> APPLICATIONS   FOR DEVELOPMENT </t>
  </si>
  <si>
    <t>Prévu</t>
  </si>
  <si>
    <t>Ecart</t>
  </si>
  <si>
    <t>2*</t>
  </si>
  <si>
    <t>15 Participants: 1 Participant per Country for 10 Country, 2 Trainers, 1 Finance Officer, DG for ADMAC and 1 A Representative of the Lessor</t>
  </si>
  <si>
    <t>Date of preparation : June 13, 2019</t>
  </si>
  <si>
    <t>Amount $</t>
  </si>
  <si>
    <t xml:space="preserve">-upscale best practices </t>
  </si>
  <si>
    <t>- Design and develop FAO compliant climate services for 6 months</t>
  </si>
  <si>
    <t>Market trial,  refinement and up scaling ( through local training for NMHSs of LDCs)  to more countries  for 12 months</t>
  </si>
  <si>
    <t>Activities</t>
  </si>
  <si>
    <r>
      <t> </t>
    </r>
    <r>
      <rPr>
        <sz val="10"/>
        <color rgb="FF1F4E79"/>
        <rFont val="Times New Roman"/>
        <family val="1"/>
      </rPr>
      <t>-support pilot demonstration  through one  training event</t>
    </r>
  </si>
  <si>
    <t xml:space="preserve">unit </t>
  </si>
  <si>
    <t>number of units</t>
  </si>
  <si>
    <t xml:space="preserve">Uniit cost </t>
  </si>
  <si>
    <t xml:space="preserve">Total </t>
  </si>
  <si>
    <t>1 Training for one week</t>
  </si>
  <si>
    <t xml:space="preserve">1.1 prepare concept </t>
  </si>
  <si>
    <t>1.3 invitations, visas other logstics</t>
  </si>
  <si>
    <t>2 Design and develop Services</t>
  </si>
  <si>
    <t>days</t>
  </si>
  <si>
    <t>2.1 define and specify the services</t>
  </si>
  <si>
    <t>2.2 develop and validate the service</t>
  </si>
  <si>
    <t>months</t>
  </si>
  <si>
    <t>2.3 integrate and pilot demonstration</t>
  </si>
  <si>
    <t>2.4 operate the service and collect feedback, upscale</t>
  </si>
  <si>
    <t>Indirect cost (10%)</t>
  </si>
  <si>
    <t>Staff Cost in STE (3 Trainers Costs -  provide lectures and hands on training during 5 days))</t>
  </si>
  <si>
    <t xml:space="preserve">Other costs </t>
  </si>
  <si>
    <t>Banners, vidéo and photocoverage, media coverage printing fastsheets, roll up banners</t>
  </si>
  <si>
    <t>Interpertation equipment rent and honoraria for 2 interpreters for 5 days</t>
  </si>
  <si>
    <t xml:space="preserve">Conference  room for 5 days </t>
  </si>
  <si>
    <t xml:space="preserve">Photocopies of training materials, consumables and office supplies,  </t>
  </si>
  <si>
    <t>per break</t>
  </si>
  <si>
    <t>1.2 prepare  announcement  and call for participation</t>
  </si>
  <si>
    <t>3   Project Management</t>
  </si>
  <si>
    <t>3.1 administration and finance ( 20% time)</t>
  </si>
  <si>
    <t>3.2 Team Learder ( 30% time)</t>
  </si>
  <si>
    <t xml:space="preserve">months </t>
  </si>
  <si>
    <t xml:space="preserve">Subtotal </t>
  </si>
  <si>
    <t>Total</t>
  </si>
  <si>
    <t>Grand total with activities including training workshop</t>
  </si>
  <si>
    <t>4 Indirect cost(10%)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</si>
</sst>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i/>
      <sz val="12"/>
      <name val="Arial"/>
      <family val="2"/>
    </font>
    <font>
      <sz val="12"/>
      <color theme="1"/>
      <name val="Arial"/>
      <family val="2"/>
    </font>
    <font>
      <b/>
      <i/>
      <sz val="1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i/>
      <sz val="12"/>
      <color rgb="FFFF0000"/>
      <name val="Arial"/>
      <family val="2"/>
    </font>
    <font>
      <b/>
      <i/>
      <sz val="12"/>
      <color rgb="FFFF0000"/>
      <name val="Arial"/>
      <family val="2"/>
    </font>
    <font>
      <sz val="10"/>
      <color theme="1"/>
      <name val="Times New Roman"/>
      <family val="1"/>
    </font>
    <font>
      <sz val="10"/>
      <color rgb="FF1F4E79"/>
      <name val="Times New Roman"/>
      <family val="1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4" fillId="0" borderId="0" xfId="0" applyFont="1"/>
    <xf numFmtId="3" fontId="3" fillId="0" borderId="0" xfId="0" applyNumberFormat="1" applyFont="1"/>
    <xf numFmtId="0" fontId="2" fillId="0" borderId="0" xfId="0" applyFont="1" applyAlignment="1"/>
    <xf numFmtId="0" fontId="2" fillId="0" borderId="0" xfId="1" applyFont="1" applyAlignment="1"/>
    <xf numFmtId="17" fontId="4" fillId="0" borderId="0" xfId="1" applyNumberFormat="1" applyFont="1" applyAlignment="1">
      <alignment horizontal="center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/>
    </xf>
    <xf numFmtId="3" fontId="4" fillId="0" borderId="0" xfId="1" applyNumberFormat="1" applyFont="1" applyAlignment="1">
      <alignment horizont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wrapText="1"/>
    </xf>
    <xf numFmtId="3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vertical="center"/>
    </xf>
    <xf numFmtId="3" fontId="2" fillId="0" borderId="1" xfId="1" applyNumberFormat="1" applyFont="1" applyBorder="1" applyAlignment="1">
      <alignment horizontal="right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3" fontId="5" fillId="0" borderId="1" xfId="1" applyNumberFormat="1" applyFont="1" applyBorder="1" applyAlignment="1">
      <alignment vertical="center"/>
    </xf>
    <xf numFmtId="0" fontId="5" fillId="0" borderId="2" xfId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/>
    </xf>
    <xf numFmtId="3" fontId="5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5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1" xfId="1" applyFont="1" applyBorder="1" applyAlignment="1">
      <alignment horizontal="left" vertical="center" wrapText="1"/>
    </xf>
    <xf numFmtId="3" fontId="5" fillId="0" borderId="0" xfId="0" applyNumberFormat="1" applyFont="1" applyBorder="1" applyAlignment="1">
      <alignment vertical="center" wrapText="1"/>
    </xf>
    <xf numFmtId="3" fontId="2" fillId="0" borderId="3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3" fontId="2" fillId="0" borderId="0" xfId="0" applyNumberFormat="1" applyFont="1" applyAlignment="1">
      <alignment wrapText="1"/>
    </xf>
    <xf numFmtId="3" fontId="2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3" fontId="3" fillId="0" borderId="0" xfId="0" applyNumberFormat="1" applyFont="1" applyAlignment="1">
      <alignment wrapText="1"/>
    </xf>
    <xf numFmtId="0" fontId="6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4" xfId="1" applyFont="1" applyBorder="1" applyAlignment="1">
      <alignment vertical="center" wrapText="1"/>
    </xf>
    <xf numFmtId="4" fontId="2" fillId="0" borderId="1" xfId="1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right" vertical="center" wrapText="1"/>
    </xf>
    <xf numFmtId="4" fontId="5" fillId="0" borderId="1" xfId="1" applyNumberFormat="1" applyFont="1" applyBorder="1" applyAlignment="1">
      <alignment vertical="center"/>
    </xf>
    <xf numFmtId="4" fontId="2" fillId="0" borderId="1" xfId="1" applyNumberFormat="1" applyFont="1" applyBorder="1" applyAlignment="1">
      <alignment vertical="center"/>
    </xf>
    <xf numFmtId="4" fontId="5" fillId="0" borderId="1" xfId="1" applyNumberFormat="1" applyFont="1" applyBorder="1" applyAlignment="1">
      <alignment vertical="center" wrapText="1"/>
    </xf>
    <xf numFmtId="4" fontId="2" fillId="0" borderId="1" xfId="1" applyNumberFormat="1" applyFont="1" applyBorder="1" applyAlignment="1">
      <alignment vertical="center" wrapText="1"/>
    </xf>
    <xf numFmtId="0" fontId="7" fillId="0" borderId="0" xfId="0" applyFont="1" applyAlignment="1"/>
    <xf numFmtId="0" fontId="8" fillId="0" borderId="0" xfId="0" applyFont="1" applyAlignment="1">
      <alignment horizontal="right"/>
    </xf>
    <xf numFmtId="4" fontId="8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0" fontId="8" fillId="0" borderId="0" xfId="0" applyFont="1" applyAlignment="1">
      <alignment horizontal="right" wrapText="1"/>
    </xf>
    <xf numFmtId="0" fontId="10" fillId="0" borderId="0" xfId="0" applyFont="1" applyAlignment="1">
      <alignment horizontal="right" wrapText="1"/>
    </xf>
    <xf numFmtId="0" fontId="11" fillId="0" borderId="0" xfId="0" applyFont="1" applyAlignment="1">
      <alignment horizontal="right" wrapText="1"/>
    </xf>
    <xf numFmtId="0" fontId="11" fillId="0" borderId="0" xfId="0" applyFont="1" applyAlignment="1">
      <alignment horizontal="right" vertical="center" wrapText="1"/>
    </xf>
    <xf numFmtId="0" fontId="6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8" fillId="0" borderId="0" xfId="0" applyFont="1" applyAlignment="1">
      <alignment horizontal="right" vertical="center"/>
    </xf>
    <xf numFmtId="4" fontId="8" fillId="0" borderId="0" xfId="0" applyNumberFormat="1" applyFont="1" applyAlignment="1">
      <alignment horizontal="right" vertical="center"/>
    </xf>
    <xf numFmtId="0" fontId="10" fillId="2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left"/>
    </xf>
    <xf numFmtId="0" fontId="6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4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4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5" fillId="0" borderId="0" xfId="1" applyFont="1" applyAlignment="1">
      <alignment horizontal="left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6" fillId="0" borderId="0" xfId="0" applyFont="1" applyAlignment="1">
      <alignment horizontal="center"/>
    </xf>
    <xf numFmtId="0" fontId="14" fillId="0" borderId="0" xfId="0" applyFont="1"/>
    <xf numFmtId="4" fontId="9" fillId="0" borderId="0" xfId="0" applyNumberFormat="1" applyFont="1" applyAlignment="1">
      <alignment horizontal="right"/>
    </xf>
    <xf numFmtId="4" fontId="4" fillId="0" borderId="0" xfId="0" applyNumberFormat="1" applyFont="1"/>
    <xf numFmtId="0" fontId="4" fillId="0" borderId="0" xfId="0" applyFont="1" applyAlignment="1">
      <alignment horizontal="right"/>
    </xf>
    <xf numFmtId="4" fontId="4" fillId="0" borderId="0" xfId="0" applyNumberFormat="1" applyFont="1" applyAlignment="1">
      <alignment horizontal="right"/>
    </xf>
    <xf numFmtId="0" fontId="5" fillId="2" borderId="1" xfId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191743</xdr:colOff>
      <xdr:row>0</xdr:row>
      <xdr:rowOff>107260</xdr:rowOff>
    </xdr:from>
    <xdr:to>
      <xdr:col>5</xdr:col>
      <xdr:colOff>754132</xdr:colOff>
      <xdr:row>3</xdr:row>
      <xdr:rowOff>12010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76895" y="107260"/>
          <a:ext cx="1448628" cy="484533"/>
        </a:xfrm>
        <a:prstGeom prst="rect">
          <a:avLst/>
        </a:prstGeom>
        <a:solidFill>
          <a:srgbClr val="FFFFFF"/>
        </a:solidFill>
        <a:ln w="9525">
          <a:solidFill>
            <a:srgbClr val="339966"/>
          </a:solidFill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191743</xdr:colOff>
      <xdr:row>0</xdr:row>
      <xdr:rowOff>107260</xdr:rowOff>
    </xdr:from>
    <xdr:to>
      <xdr:col>5</xdr:col>
      <xdr:colOff>373132</xdr:colOff>
      <xdr:row>3</xdr:row>
      <xdr:rowOff>12010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82693" y="107260"/>
          <a:ext cx="1448214" cy="485775"/>
        </a:xfrm>
        <a:prstGeom prst="rect">
          <a:avLst/>
        </a:prstGeom>
        <a:solidFill>
          <a:srgbClr val="FFFFFF"/>
        </a:solidFill>
        <a:ln w="9525">
          <a:solidFill>
            <a:srgbClr val="339966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7"/>
  <sheetViews>
    <sheetView topLeftCell="A7" zoomScale="115" zoomScaleNormal="115" workbookViewId="0">
      <selection activeCell="C14" sqref="C14"/>
    </sheetView>
  </sheetViews>
  <sheetFormatPr defaultColWidth="9.140625" defaultRowHeight="15"/>
  <cols>
    <col min="1" max="1" width="2" style="38" customWidth="1"/>
    <col min="2" max="2" width="8.85546875" style="38" customWidth="1"/>
    <col min="3" max="3" width="32.7109375" style="38" customWidth="1"/>
    <col min="4" max="5" width="13.28515625" style="38" customWidth="1"/>
    <col min="6" max="9" width="14.85546875" style="38" customWidth="1"/>
    <col min="10" max="10" width="9.140625" style="38"/>
    <col min="11" max="11" width="13.7109375" style="38" customWidth="1"/>
    <col min="12" max="12" width="10.28515625" style="38" bestFit="1" customWidth="1"/>
    <col min="13" max="16384" width="9.140625" style="38"/>
  </cols>
  <sheetData>
    <row r="1" spans="1:10" ht="15.75">
      <c r="A1" s="1"/>
      <c r="B1" s="2"/>
      <c r="C1" s="3"/>
      <c r="D1" s="4"/>
      <c r="E1" s="1"/>
      <c r="F1" s="5"/>
      <c r="G1" s="1"/>
      <c r="H1" s="1"/>
      <c r="I1" s="1"/>
      <c r="J1" s="1"/>
    </row>
    <row r="2" spans="1:10">
      <c r="A2" s="1"/>
      <c r="B2" s="61" t="s">
        <v>47</v>
      </c>
      <c r="C2" s="61"/>
      <c r="D2" s="61"/>
      <c r="E2" s="48"/>
      <c r="F2" s="48"/>
      <c r="G2" s="62" t="s">
        <v>49</v>
      </c>
      <c r="H2" s="62"/>
      <c r="I2" s="62"/>
      <c r="J2" s="1"/>
    </row>
    <row r="3" spans="1:10">
      <c r="A3" s="1"/>
      <c r="B3" s="61" t="s">
        <v>48</v>
      </c>
      <c r="C3" s="61"/>
      <c r="D3" s="61"/>
      <c r="E3" s="48"/>
      <c r="F3" s="48"/>
      <c r="G3" s="62" t="s">
        <v>50</v>
      </c>
      <c r="H3" s="62"/>
      <c r="I3" s="62"/>
      <c r="J3" s="1"/>
    </row>
    <row r="4" spans="1:10">
      <c r="A4" s="1"/>
      <c r="B4" s="6" t="s">
        <v>0</v>
      </c>
      <c r="C4" s="6"/>
      <c r="D4" s="6"/>
      <c r="E4" s="6"/>
      <c r="F4" s="6"/>
      <c r="G4" s="6"/>
      <c r="H4" s="6"/>
      <c r="I4" s="6"/>
      <c r="J4" s="1"/>
    </row>
    <row r="5" spans="1:10">
      <c r="A5" s="1"/>
      <c r="B5" s="7" t="s">
        <v>1</v>
      </c>
      <c r="C5" s="7"/>
      <c r="D5" s="7"/>
      <c r="E5" s="7"/>
      <c r="F5" s="7"/>
      <c r="G5" s="7"/>
      <c r="H5" s="7"/>
      <c r="I5" s="7"/>
      <c r="J5" s="1"/>
    </row>
    <row r="6" spans="1:10">
      <c r="A6" s="1"/>
      <c r="B6" s="73" t="s">
        <v>44</v>
      </c>
      <c r="C6" s="73"/>
      <c r="D6" s="73"/>
      <c r="E6" s="73"/>
      <c r="F6" s="73"/>
      <c r="G6" s="73"/>
      <c r="H6" s="73"/>
      <c r="I6" s="73"/>
      <c r="J6" s="1"/>
    </row>
    <row r="7" spans="1:10" ht="15.75">
      <c r="A7" s="1"/>
      <c r="B7" s="8"/>
      <c r="C7" s="9"/>
      <c r="D7" s="10"/>
      <c r="E7" s="10"/>
      <c r="F7" s="11"/>
      <c r="G7" s="10"/>
      <c r="H7" s="10"/>
      <c r="I7" s="10"/>
      <c r="J7" s="1"/>
    </row>
    <row r="8" spans="1:10" ht="19.5" customHeight="1">
      <c r="A8" s="1"/>
      <c r="B8" s="75" t="s">
        <v>2</v>
      </c>
      <c r="C8" s="67" t="s">
        <v>3</v>
      </c>
      <c r="D8" s="69" t="s">
        <v>4</v>
      </c>
      <c r="E8" s="69" t="s">
        <v>5</v>
      </c>
      <c r="F8" s="71" t="s">
        <v>6</v>
      </c>
      <c r="G8" s="72"/>
      <c r="H8" s="71" t="s">
        <v>32</v>
      </c>
      <c r="I8" s="72"/>
      <c r="J8" s="1"/>
    </row>
    <row r="9" spans="1:10" ht="30">
      <c r="A9" s="1"/>
      <c r="B9" s="76"/>
      <c r="C9" s="68"/>
      <c r="D9" s="70"/>
      <c r="E9" s="70"/>
      <c r="F9" s="41" t="s">
        <v>33</v>
      </c>
      <c r="G9" s="41" t="s">
        <v>34</v>
      </c>
      <c r="H9" s="41" t="s">
        <v>35</v>
      </c>
      <c r="I9" s="41" t="s">
        <v>36</v>
      </c>
      <c r="J9" s="1"/>
    </row>
    <row r="10" spans="1:10" ht="23.25" customHeight="1">
      <c r="A10" s="1"/>
      <c r="B10" s="12" t="s">
        <v>7</v>
      </c>
      <c r="C10" s="13" t="s">
        <v>8</v>
      </c>
      <c r="D10" s="12"/>
      <c r="E10" s="16"/>
      <c r="F10" s="15"/>
      <c r="G10" s="17">
        <f>SUM(G11:G13)</f>
        <v>17317266.299999997</v>
      </c>
      <c r="H10" s="42"/>
      <c r="I10" s="43">
        <f>SUM(I11:I13)</f>
        <v>26400.00228673526</v>
      </c>
      <c r="J10" s="1"/>
    </row>
    <row r="11" spans="1:10" ht="45" customHeight="1">
      <c r="A11" s="1"/>
      <c r="B11" s="18">
        <v>1</v>
      </c>
      <c r="C11" s="19" t="s">
        <v>46</v>
      </c>
      <c r="D11" s="20" t="s">
        <v>17</v>
      </c>
      <c r="E11" s="18">
        <v>3</v>
      </c>
      <c r="F11" s="21">
        <v>1639893</v>
      </c>
      <c r="G11" s="21">
        <f>E11*F11</f>
        <v>4919679</v>
      </c>
      <c r="H11" s="44">
        <f>F11/655.957</f>
        <v>2500.0007622450862</v>
      </c>
      <c r="I11" s="44">
        <f>H11*E11</f>
        <v>7500.0022867352582</v>
      </c>
      <c r="J11" s="1"/>
    </row>
    <row r="12" spans="1:10" ht="33.75" customHeight="1">
      <c r="A12" s="1"/>
      <c r="B12" s="60" t="s">
        <v>53</v>
      </c>
      <c r="C12" s="22" t="s">
        <v>37</v>
      </c>
      <c r="D12" s="20" t="s">
        <v>9</v>
      </c>
      <c r="E12" s="18">
        <f>15*7</f>
        <v>105</v>
      </c>
      <c r="F12" s="21">
        <f>H12*655.957</f>
        <v>118072.26</v>
      </c>
      <c r="G12" s="21">
        <f>E12*F12</f>
        <v>12397587.299999999</v>
      </c>
      <c r="H12" s="44">
        <v>180</v>
      </c>
      <c r="I12" s="44">
        <f>E12*H12</f>
        <v>18900</v>
      </c>
      <c r="J12" s="1"/>
    </row>
    <row r="13" spans="1:10" ht="22.5" customHeight="1">
      <c r="A13" s="1"/>
      <c r="B13" s="18"/>
      <c r="C13" s="22"/>
      <c r="D13" s="20"/>
      <c r="E13" s="18"/>
      <c r="F13" s="21"/>
      <c r="G13" s="21"/>
      <c r="H13" s="44"/>
      <c r="I13" s="44"/>
      <c r="J13" s="1"/>
    </row>
    <row r="14" spans="1:10" ht="22.5" customHeight="1">
      <c r="A14" s="1"/>
      <c r="B14" s="18" t="s">
        <v>10</v>
      </c>
      <c r="C14" s="13" t="s">
        <v>11</v>
      </c>
      <c r="D14" s="12"/>
      <c r="E14" s="12"/>
      <c r="F14" s="23"/>
      <c r="G14" s="23">
        <f>G15+G16+G17</f>
        <v>12300000</v>
      </c>
      <c r="H14" s="45"/>
      <c r="I14" s="45">
        <f>I15+I16+I17</f>
        <v>18751.229120201475</v>
      </c>
      <c r="J14" s="4"/>
    </row>
    <row r="15" spans="1:10" ht="33.75" customHeight="1">
      <c r="A15" s="3"/>
      <c r="B15" s="20">
        <v>1</v>
      </c>
      <c r="C15" s="19" t="s">
        <v>38</v>
      </c>
      <c r="D15" s="20" t="s">
        <v>12</v>
      </c>
      <c r="E15" s="20">
        <v>15</v>
      </c>
      <c r="F15" s="24">
        <v>800000</v>
      </c>
      <c r="G15" s="24">
        <f>E15*F15</f>
        <v>12000000</v>
      </c>
      <c r="H15" s="44">
        <f>F15/655.957</f>
        <v>1219.592137899283</v>
      </c>
      <c r="I15" s="46">
        <f>E15*H15</f>
        <v>18293.882068489245</v>
      </c>
      <c r="J15" s="3"/>
    </row>
    <row r="16" spans="1:10" ht="33.75" customHeight="1">
      <c r="A16" s="3"/>
      <c r="B16" s="20">
        <v>2</v>
      </c>
      <c r="C16" s="19" t="s">
        <v>39</v>
      </c>
      <c r="D16" s="20" t="s">
        <v>17</v>
      </c>
      <c r="E16" s="20">
        <v>1</v>
      </c>
      <c r="F16" s="24">
        <v>300000</v>
      </c>
      <c r="G16" s="24">
        <f>E16*F16</f>
        <v>300000</v>
      </c>
      <c r="H16" s="44">
        <f>F16/655.957</f>
        <v>457.34705171223112</v>
      </c>
      <c r="I16" s="46">
        <f t="shared" ref="I16:I19" si="0">E16*H16</f>
        <v>457.34705171223112</v>
      </c>
      <c r="J16" s="3"/>
    </row>
    <row r="17" spans="1:11" ht="15" customHeight="1">
      <c r="A17" s="3"/>
      <c r="B17" s="20"/>
      <c r="C17" s="19"/>
      <c r="D17" s="20"/>
      <c r="E17" s="20"/>
      <c r="F17" s="24"/>
      <c r="G17" s="24"/>
      <c r="H17" s="44"/>
      <c r="I17" s="46"/>
      <c r="J17" s="3"/>
    </row>
    <row r="18" spans="1:11" ht="22.5" customHeight="1">
      <c r="A18" s="3"/>
      <c r="B18" s="14" t="s">
        <v>13</v>
      </c>
      <c r="C18" s="13" t="s">
        <v>40</v>
      </c>
      <c r="D18" s="20"/>
      <c r="E18" s="20"/>
      <c r="F18" s="24"/>
      <c r="G18" s="25">
        <f>SUM(G19:G20)</f>
        <v>800000</v>
      </c>
      <c r="H18" s="47"/>
      <c r="I18" s="47">
        <f>SUM(I19:I20)</f>
        <v>1219.592137899283</v>
      </c>
      <c r="J18" s="3"/>
    </row>
    <row r="19" spans="1:11" ht="45.75" customHeight="1">
      <c r="A19" s="26"/>
      <c r="B19" s="20">
        <v>1</v>
      </c>
      <c r="C19" s="19" t="s">
        <v>45</v>
      </c>
      <c r="D19" s="20" t="s">
        <v>17</v>
      </c>
      <c r="E19" s="20">
        <v>1</v>
      </c>
      <c r="F19" s="24">
        <v>800000</v>
      </c>
      <c r="G19" s="24">
        <f>E19*F19</f>
        <v>800000</v>
      </c>
      <c r="H19" s="46">
        <f>F19/655.957</f>
        <v>1219.592137899283</v>
      </c>
      <c r="I19" s="46">
        <f t="shared" si="0"/>
        <v>1219.592137899283</v>
      </c>
      <c r="J19" s="26"/>
    </row>
    <row r="20" spans="1:11" ht="22.5" customHeight="1">
      <c r="A20" s="26"/>
      <c r="B20" s="20"/>
      <c r="C20" s="19"/>
      <c r="D20" s="20"/>
      <c r="E20" s="20"/>
      <c r="F20" s="24"/>
      <c r="G20" s="24"/>
      <c r="H20" s="46"/>
      <c r="I20" s="46"/>
      <c r="J20" s="26"/>
    </row>
    <row r="21" spans="1:11" ht="22.5" customHeight="1">
      <c r="A21" s="27"/>
      <c r="B21" s="14" t="s">
        <v>14</v>
      </c>
      <c r="C21" s="13" t="s">
        <v>15</v>
      </c>
      <c r="D21" s="14"/>
      <c r="E21" s="14"/>
      <c r="F21" s="25"/>
      <c r="G21" s="25">
        <f>G22</f>
        <v>625000</v>
      </c>
      <c r="H21" s="47"/>
      <c r="I21" s="47">
        <f>I22</f>
        <v>952.80635773381493</v>
      </c>
      <c r="J21" s="27"/>
    </row>
    <row r="22" spans="1:11" ht="44.25" customHeight="1">
      <c r="A22" s="26"/>
      <c r="B22" s="20">
        <v>1</v>
      </c>
      <c r="C22" s="19" t="s">
        <v>16</v>
      </c>
      <c r="D22" s="20" t="s">
        <v>17</v>
      </c>
      <c r="E22" s="20">
        <v>5</v>
      </c>
      <c r="F22" s="24">
        <v>125000</v>
      </c>
      <c r="G22" s="24">
        <f>E22*F22</f>
        <v>625000</v>
      </c>
      <c r="H22" s="46">
        <f>F22/655.957</f>
        <v>190.56127154676298</v>
      </c>
      <c r="I22" s="46">
        <f>E22*H22</f>
        <v>952.80635773381493</v>
      </c>
      <c r="J22" s="26"/>
    </row>
    <row r="23" spans="1:11" ht="21.75" customHeight="1">
      <c r="A23" s="26"/>
      <c r="B23" s="20"/>
      <c r="C23" s="19"/>
      <c r="D23" s="20"/>
      <c r="E23" s="20"/>
      <c r="F23" s="24">
        <v>0</v>
      </c>
      <c r="G23" s="24"/>
      <c r="H23" s="46"/>
      <c r="I23" s="46"/>
      <c r="J23" s="26"/>
    </row>
    <row r="24" spans="1:11" ht="21.75" customHeight="1">
      <c r="A24" s="27"/>
      <c r="B24" s="14" t="s">
        <v>18</v>
      </c>
      <c r="C24" s="13" t="s">
        <v>19</v>
      </c>
      <c r="D24" s="14"/>
      <c r="E24" s="14"/>
      <c r="F24" s="25"/>
      <c r="G24" s="25">
        <f>G25</f>
        <v>3000000</v>
      </c>
      <c r="H24" s="47"/>
      <c r="I24" s="47">
        <f>I25</f>
        <v>4573.4705171223113</v>
      </c>
      <c r="J24" s="27"/>
    </row>
    <row r="25" spans="1:11" ht="47.25" customHeight="1">
      <c r="A25" s="26"/>
      <c r="B25" s="20"/>
      <c r="C25" s="19" t="s">
        <v>43</v>
      </c>
      <c r="D25" s="20" t="s">
        <v>17</v>
      </c>
      <c r="E25" s="20">
        <f>2*5</f>
        <v>10</v>
      </c>
      <c r="F25" s="24">
        <v>300000</v>
      </c>
      <c r="G25" s="24">
        <f>E25*F25</f>
        <v>3000000</v>
      </c>
      <c r="H25" s="46">
        <f>F25/655.957</f>
        <v>457.34705171223112</v>
      </c>
      <c r="I25" s="46">
        <f>G25/655.957</f>
        <v>4573.4705171223113</v>
      </c>
      <c r="J25" s="26"/>
    </row>
    <row r="26" spans="1:11" ht="21.75" customHeight="1">
      <c r="A26" s="26"/>
      <c r="B26" s="20"/>
      <c r="C26" s="19"/>
      <c r="D26" s="20"/>
      <c r="E26" s="20"/>
      <c r="F26" s="24"/>
      <c r="G26" s="24"/>
      <c r="H26" s="46"/>
      <c r="I26" s="46"/>
      <c r="J26" s="26"/>
    </row>
    <row r="27" spans="1:11" ht="33.75" customHeight="1">
      <c r="A27" s="26"/>
      <c r="B27" s="14" t="s">
        <v>20</v>
      </c>
      <c r="C27" s="13" t="s">
        <v>21</v>
      </c>
      <c r="D27" s="20"/>
      <c r="E27" s="20"/>
      <c r="F27" s="24"/>
      <c r="G27" s="25">
        <f>SUM(G28:G30)</f>
        <v>3050000</v>
      </c>
      <c r="H27" s="46"/>
      <c r="I27" s="47">
        <f>SUM(I28:I30)</f>
        <v>4649.6950257410163</v>
      </c>
      <c r="J27" s="26"/>
    </row>
    <row r="28" spans="1:11" ht="33.75" customHeight="1">
      <c r="A28" s="26"/>
      <c r="B28" s="20">
        <v>1</v>
      </c>
      <c r="C28" s="19" t="s">
        <v>41</v>
      </c>
      <c r="D28" s="20" t="s">
        <v>22</v>
      </c>
      <c r="E28" s="20">
        <v>5</v>
      </c>
      <c r="F28" s="24">
        <v>400000</v>
      </c>
      <c r="G28" s="24">
        <f>E28*F28</f>
        <v>2000000</v>
      </c>
      <c r="H28" s="46">
        <f>F28/655.957</f>
        <v>609.79606894964149</v>
      </c>
      <c r="I28" s="46">
        <f>E28*H28</f>
        <v>3048.9803447482072</v>
      </c>
      <c r="J28" s="26"/>
    </row>
    <row r="29" spans="1:11" ht="48.75" customHeight="1">
      <c r="A29" s="26"/>
      <c r="B29" s="20">
        <v>2</v>
      </c>
      <c r="C29" s="19" t="s">
        <v>42</v>
      </c>
      <c r="D29" s="20" t="s">
        <v>22</v>
      </c>
      <c r="E29" s="20">
        <f>2*5*15</f>
        <v>150</v>
      </c>
      <c r="F29" s="24">
        <v>3000</v>
      </c>
      <c r="G29" s="24">
        <f>E29*F29</f>
        <v>450000</v>
      </c>
      <c r="H29" s="46">
        <f>F29/655.957</f>
        <v>4.5734705171223116</v>
      </c>
      <c r="I29" s="46">
        <f>E29*H29</f>
        <v>686.02057756834677</v>
      </c>
      <c r="J29" s="26"/>
    </row>
    <row r="30" spans="1:11" ht="33.75" customHeight="1">
      <c r="A30" s="26"/>
      <c r="B30" s="20">
        <v>4</v>
      </c>
      <c r="C30" s="19" t="s">
        <v>23</v>
      </c>
      <c r="D30" s="20" t="s">
        <v>24</v>
      </c>
      <c r="E30" s="20">
        <v>12</v>
      </c>
      <c r="F30" s="24">
        <v>50000</v>
      </c>
      <c r="G30" s="24">
        <f>E30*F30</f>
        <v>600000</v>
      </c>
      <c r="H30" s="46">
        <f>F30/655.957</f>
        <v>76.224508618705187</v>
      </c>
      <c r="I30" s="46">
        <f>E30*H30</f>
        <v>914.69410342446224</v>
      </c>
      <c r="J30" s="26"/>
    </row>
    <row r="31" spans="1:11" ht="33.75" customHeight="1">
      <c r="A31" s="26"/>
      <c r="B31" s="20"/>
      <c r="C31" s="19"/>
      <c r="D31" s="20"/>
      <c r="E31" s="20"/>
      <c r="F31" s="24"/>
      <c r="G31" s="24"/>
      <c r="H31" s="46"/>
      <c r="I31" s="46"/>
      <c r="J31" s="26"/>
    </row>
    <row r="32" spans="1:11" ht="33.75" customHeight="1">
      <c r="A32" s="26"/>
      <c r="B32" s="20"/>
      <c r="C32" s="14" t="s">
        <v>25</v>
      </c>
      <c r="D32" s="19"/>
      <c r="E32" s="20"/>
      <c r="F32" s="24"/>
      <c r="G32" s="25">
        <f>G10+G14+G18+G21+G24+G27</f>
        <v>37092266.299999997</v>
      </c>
      <c r="H32" s="47"/>
      <c r="I32" s="47">
        <f>I10+I14+I18+I21+I24+I27</f>
        <v>56546.795445433163</v>
      </c>
      <c r="J32" s="53" t="s">
        <v>51</v>
      </c>
      <c r="K32" s="50">
        <v>45000</v>
      </c>
    </row>
    <row r="33" spans="1:11" ht="33.75" customHeight="1">
      <c r="A33" s="26"/>
      <c r="B33" s="20"/>
      <c r="C33" s="14"/>
      <c r="D33" s="19"/>
      <c r="E33" s="20"/>
      <c r="F33" s="24"/>
      <c r="G33" s="25"/>
      <c r="H33" s="47"/>
      <c r="I33" s="47"/>
      <c r="J33" s="53" t="s">
        <v>52</v>
      </c>
      <c r="K33" s="50">
        <f>I32-K32</f>
        <v>11546.795445433163</v>
      </c>
    </row>
    <row r="34" spans="1:11" ht="33.75" customHeight="1">
      <c r="A34" s="26"/>
      <c r="B34" s="14" t="s">
        <v>18</v>
      </c>
      <c r="C34" s="28" t="s">
        <v>26</v>
      </c>
      <c r="D34" s="19"/>
      <c r="E34" s="20"/>
      <c r="F34" s="24"/>
      <c r="G34" s="25">
        <f>G32*5%</f>
        <v>1854613.3149999999</v>
      </c>
      <c r="H34" s="47"/>
      <c r="I34" s="47">
        <f>G34/655.957</f>
        <v>2827.3397722716581</v>
      </c>
      <c r="J34" s="26"/>
    </row>
    <row r="35" spans="1:11" ht="33.75" customHeight="1">
      <c r="A35" s="26"/>
      <c r="B35" s="14"/>
      <c r="C35" s="28"/>
      <c r="D35" s="19"/>
      <c r="E35" s="20"/>
      <c r="F35" s="24"/>
      <c r="G35" s="25"/>
      <c r="H35" s="47"/>
      <c r="I35" s="47"/>
      <c r="J35" s="26"/>
    </row>
    <row r="36" spans="1:11" ht="33.75" customHeight="1">
      <c r="A36" s="26"/>
      <c r="B36" s="20"/>
      <c r="C36" s="14" t="s">
        <v>27</v>
      </c>
      <c r="D36" s="19"/>
      <c r="E36" s="20"/>
      <c r="F36" s="24"/>
      <c r="G36" s="25">
        <f>G32+G34</f>
        <v>38946879.614999995</v>
      </c>
      <c r="H36" s="47"/>
      <c r="I36" s="47">
        <f>I32+I34</f>
        <v>59374.135217704825</v>
      </c>
      <c r="J36" s="26"/>
    </row>
    <row r="37" spans="1:11">
      <c r="A37" s="26"/>
      <c r="B37" s="74"/>
      <c r="C37" s="74"/>
      <c r="D37" s="74"/>
      <c r="E37" s="74"/>
      <c r="F37" s="29"/>
      <c r="G37" s="30"/>
      <c r="H37" s="30"/>
      <c r="I37" s="30"/>
      <c r="J37" s="26"/>
    </row>
    <row r="38" spans="1:11" ht="15" customHeight="1">
      <c r="A38" s="31"/>
      <c r="B38" s="64" t="s">
        <v>31</v>
      </c>
      <c r="C38" s="64"/>
      <c r="D38" s="39"/>
      <c r="E38" s="31"/>
      <c r="F38" s="32"/>
      <c r="G38" s="65" t="s">
        <v>29</v>
      </c>
      <c r="H38" s="65"/>
      <c r="I38" s="65"/>
      <c r="J38" s="31"/>
    </row>
    <row r="39" spans="1:11">
      <c r="A39" s="27"/>
      <c r="B39" s="33"/>
      <c r="C39" s="27"/>
      <c r="D39" s="27"/>
      <c r="E39" s="27"/>
      <c r="F39" s="34"/>
      <c r="G39" s="40"/>
      <c r="H39" s="40"/>
      <c r="I39" s="40"/>
      <c r="J39" s="27"/>
    </row>
    <row r="40" spans="1:11">
      <c r="A40" s="27"/>
      <c r="B40" s="33"/>
      <c r="C40" s="27"/>
      <c r="D40" s="27"/>
      <c r="E40" s="27"/>
      <c r="F40" s="34"/>
      <c r="G40" s="40"/>
      <c r="H40" s="40"/>
      <c r="I40" s="40"/>
      <c r="J40" s="27"/>
    </row>
    <row r="41" spans="1:11">
      <c r="A41" s="27"/>
      <c r="B41" s="33"/>
      <c r="C41" s="27"/>
      <c r="D41" s="27"/>
      <c r="E41" s="27"/>
      <c r="F41" s="34"/>
      <c r="G41" s="40"/>
      <c r="H41" s="40"/>
      <c r="I41" s="40"/>
      <c r="J41" s="27"/>
    </row>
    <row r="42" spans="1:11">
      <c r="A42" s="27"/>
      <c r="B42" s="33"/>
      <c r="C42" s="27"/>
      <c r="D42" s="27"/>
      <c r="E42" s="27"/>
      <c r="F42" s="34"/>
      <c r="G42" s="40"/>
      <c r="H42" s="40"/>
      <c r="I42" s="40"/>
      <c r="J42" s="27"/>
    </row>
    <row r="43" spans="1:11">
      <c r="A43" s="33"/>
      <c r="B43" s="66" t="s">
        <v>28</v>
      </c>
      <c r="C43" s="66"/>
      <c r="D43" s="33"/>
      <c r="E43" s="33"/>
      <c r="F43" s="35"/>
      <c r="G43" s="66" t="s">
        <v>30</v>
      </c>
      <c r="H43" s="66"/>
      <c r="I43" s="66"/>
      <c r="J43" s="33"/>
    </row>
    <row r="44" spans="1:11">
      <c r="A44" s="3"/>
      <c r="B44" s="36"/>
      <c r="C44" s="3"/>
      <c r="D44" s="3"/>
      <c r="E44" s="3"/>
      <c r="F44" s="37"/>
      <c r="G44" s="3"/>
      <c r="H44" s="3"/>
      <c r="I44" s="3"/>
      <c r="J44" s="3"/>
    </row>
    <row r="47" spans="1:11" s="56" customFormat="1" ht="31.5" customHeight="1">
      <c r="B47" s="57" t="s">
        <v>53</v>
      </c>
      <c r="C47" s="63" t="s">
        <v>54</v>
      </c>
      <c r="D47" s="63"/>
      <c r="E47" s="63"/>
      <c r="F47" s="63"/>
      <c r="G47" s="63"/>
      <c r="H47" s="63"/>
      <c r="I47" s="63"/>
      <c r="J47" s="58"/>
      <c r="K47" s="59"/>
    </row>
  </sheetData>
  <mergeCells count="17">
    <mergeCell ref="B8:B9"/>
    <mergeCell ref="B2:D2"/>
    <mergeCell ref="B3:D3"/>
    <mergeCell ref="G2:I2"/>
    <mergeCell ref="C47:I47"/>
    <mergeCell ref="G3:I3"/>
    <mergeCell ref="B38:C38"/>
    <mergeCell ref="G38:I38"/>
    <mergeCell ref="B43:C43"/>
    <mergeCell ref="G43:I43"/>
    <mergeCell ref="C8:C9"/>
    <mergeCell ref="D8:D9"/>
    <mergeCell ref="E8:E9"/>
    <mergeCell ref="F8:G8"/>
    <mergeCell ref="H8:I8"/>
    <mergeCell ref="B6:I6"/>
    <mergeCell ref="B37:E37"/>
  </mergeCells>
  <pageMargins left="0.23622047244094491" right="0.23622047244094491" top="0.74803149606299213" bottom="0.74803149606299213" header="0.31496062992125984" footer="0.31496062992125984"/>
  <pageSetup paperSize="9" scale="76" orientation="portrait" r:id="rId1"/>
  <rowBreaks count="1" manualBreakCount="1">
    <brk id="33" max="8" man="1"/>
  </rowBreaks>
  <ignoredErrors>
    <ignoredError sqref="G14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1"/>
  <sheetViews>
    <sheetView tabSelected="1" topLeftCell="D64" zoomScale="115" zoomScaleNormal="115" workbookViewId="0">
      <selection activeCell="C73" sqref="C73"/>
    </sheetView>
  </sheetViews>
  <sheetFormatPr defaultColWidth="9.140625" defaultRowHeight="15"/>
  <cols>
    <col min="1" max="1" width="20" style="38" customWidth="1"/>
    <col min="2" max="2" width="35.7109375" style="38" customWidth="1"/>
    <col min="3" max="3" width="32.7109375" style="38" customWidth="1"/>
    <col min="4" max="4" width="16.5703125" style="38" customWidth="1"/>
    <col min="5" max="5" width="19" style="38" customWidth="1"/>
    <col min="6" max="9" width="14.85546875" style="38" customWidth="1"/>
    <col min="10" max="10" width="9.140625" style="49"/>
    <col min="11" max="11" width="15.140625" style="50" customWidth="1"/>
    <col min="12" max="12" width="10.28515625" style="38" bestFit="1" customWidth="1"/>
    <col min="13" max="16384" width="9.140625" style="38"/>
  </cols>
  <sheetData>
    <row r="1" spans="1:11" ht="15.75">
      <c r="A1" s="1"/>
      <c r="B1" s="2"/>
      <c r="C1" s="3"/>
      <c r="D1" s="4"/>
      <c r="E1" s="1"/>
      <c r="F1" s="5"/>
      <c r="G1" s="1"/>
      <c r="H1" s="1"/>
      <c r="I1" s="1"/>
    </row>
    <row r="2" spans="1:11">
      <c r="A2" s="1"/>
      <c r="B2" s="61" t="s">
        <v>47</v>
      </c>
      <c r="C2" s="61"/>
      <c r="D2" s="61"/>
      <c r="E2" s="48"/>
      <c r="F2" s="48"/>
      <c r="G2" s="62" t="s">
        <v>49</v>
      </c>
      <c r="H2" s="62"/>
      <c r="I2" s="62"/>
    </row>
    <row r="3" spans="1:11">
      <c r="A3" s="1"/>
      <c r="B3" s="61" t="s">
        <v>48</v>
      </c>
      <c r="C3" s="61"/>
      <c r="D3" s="61"/>
      <c r="E3" s="48"/>
      <c r="F3" s="48"/>
      <c r="G3" s="62" t="s">
        <v>50</v>
      </c>
      <c r="H3" s="62"/>
      <c r="I3" s="62"/>
    </row>
    <row r="4" spans="1:11">
      <c r="A4" s="1"/>
      <c r="B4" s="6" t="s">
        <v>0</v>
      </c>
      <c r="C4" s="6"/>
      <c r="D4" s="6"/>
      <c r="E4" s="6"/>
      <c r="F4" s="6"/>
      <c r="G4" s="6"/>
      <c r="H4" s="6"/>
      <c r="I4" s="6"/>
    </row>
    <row r="5" spans="1:11">
      <c r="A5" s="1"/>
      <c r="B5" s="7" t="s">
        <v>1</v>
      </c>
      <c r="C5" s="7"/>
      <c r="D5" s="7"/>
      <c r="E5" s="7"/>
      <c r="F5" s="7"/>
      <c r="G5" s="7"/>
      <c r="H5" s="7"/>
      <c r="I5" s="7"/>
    </row>
    <row r="6" spans="1:11">
      <c r="A6" s="1"/>
      <c r="B6" s="73" t="s">
        <v>55</v>
      </c>
      <c r="C6" s="73"/>
      <c r="D6" s="73"/>
      <c r="E6" s="73"/>
      <c r="F6" s="73"/>
      <c r="G6" s="73"/>
      <c r="H6" s="73"/>
      <c r="I6" s="73"/>
    </row>
    <row r="7" spans="1:11" ht="15.75">
      <c r="A7" s="1"/>
      <c r="B7" s="8"/>
      <c r="C7" s="9"/>
      <c r="D7" s="10"/>
      <c r="E7" s="10"/>
      <c r="F7" s="11"/>
      <c r="G7" s="10"/>
      <c r="H7" s="10"/>
      <c r="I7" s="10"/>
    </row>
    <row r="8" spans="1:11" ht="19.5" customHeight="1">
      <c r="A8" s="1"/>
      <c r="B8" s="75" t="s">
        <v>2</v>
      </c>
      <c r="C8" s="67" t="s">
        <v>3</v>
      </c>
      <c r="D8" s="69" t="s">
        <v>4</v>
      </c>
      <c r="E8" s="69" t="s">
        <v>5</v>
      </c>
      <c r="F8" s="71" t="s">
        <v>6</v>
      </c>
      <c r="G8" s="72"/>
      <c r="H8" s="71" t="s">
        <v>56</v>
      </c>
      <c r="I8" s="72"/>
      <c r="K8" s="50">
        <f>575</f>
        <v>575</v>
      </c>
    </row>
    <row r="9" spans="1:11" ht="30">
      <c r="A9" s="1"/>
      <c r="B9" s="76"/>
      <c r="C9" s="68"/>
      <c r="D9" s="70"/>
      <c r="E9" s="70"/>
      <c r="F9" s="41" t="s">
        <v>33</v>
      </c>
      <c r="G9" s="41" t="s">
        <v>34</v>
      </c>
      <c r="H9" s="41" t="s">
        <v>35</v>
      </c>
      <c r="I9" s="41" t="s">
        <v>36</v>
      </c>
    </row>
    <row r="10" spans="1:11" ht="23.25" customHeight="1">
      <c r="A10" s="1"/>
      <c r="B10" s="12" t="s">
        <v>7</v>
      </c>
      <c r="C10" s="13" t="s">
        <v>8</v>
      </c>
      <c r="D10" s="12"/>
      <c r="E10" s="16"/>
      <c r="F10" s="15"/>
      <c r="G10" s="17">
        <f>SUM(G11:G12)</f>
        <v>11250000</v>
      </c>
      <c r="H10" s="42"/>
      <c r="I10" s="43">
        <f>SUM(I11:I12)</f>
        <v>19565.217391304348</v>
      </c>
    </row>
    <row r="11" spans="1:11" ht="65.25" customHeight="1">
      <c r="A11" s="1"/>
      <c r="B11" s="18">
        <v>1</v>
      </c>
      <c r="C11" s="19" t="s">
        <v>77</v>
      </c>
      <c r="D11" s="20" t="s">
        <v>70</v>
      </c>
      <c r="E11" s="18">
        <f>3*5</f>
        <v>15</v>
      </c>
      <c r="F11" s="21">
        <f>120000</f>
        <v>120000</v>
      </c>
      <c r="G11" s="21">
        <f>E11*F11</f>
        <v>1800000</v>
      </c>
      <c r="H11" s="44">
        <f>F11/K8</f>
        <v>208.69565217391303</v>
      </c>
      <c r="I11" s="44">
        <f>H11*E11</f>
        <v>3130.4347826086955</v>
      </c>
    </row>
    <row r="12" spans="1:11" ht="33.75" customHeight="1">
      <c r="A12" s="1"/>
      <c r="B12" s="85">
        <v>2</v>
      </c>
      <c r="C12" s="22" t="s">
        <v>37</v>
      </c>
      <c r="D12" s="20" t="s">
        <v>70</v>
      </c>
      <c r="E12" s="18">
        <f>15*7</f>
        <v>105</v>
      </c>
      <c r="F12" s="21">
        <f>90000</f>
        <v>90000</v>
      </c>
      <c r="G12" s="21">
        <f>E12*F12</f>
        <v>9450000</v>
      </c>
      <c r="H12" s="44">
        <f>F12/K8</f>
        <v>156.52173913043478</v>
      </c>
      <c r="I12" s="44">
        <f>E12*H12</f>
        <v>16434.782608695652</v>
      </c>
    </row>
    <row r="13" spans="1:11" ht="22.5" customHeight="1">
      <c r="A13" s="1"/>
      <c r="B13" s="18"/>
      <c r="C13" s="22"/>
      <c r="D13" s="20"/>
      <c r="E13" s="18"/>
      <c r="F13" s="21"/>
      <c r="G13" s="21"/>
      <c r="H13" s="44"/>
      <c r="I13" s="44"/>
    </row>
    <row r="14" spans="1:11" ht="22.5" customHeight="1">
      <c r="A14" s="1"/>
      <c r="B14" s="18" t="s">
        <v>10</v>
      </c>
      <c r="C14" s="13" t="s">
        <v>11</v>
      </c>
      <c r="D14" s="12"/>
      <c r="E14" s="12"/>
      <c r="F14" s="23"/>
      <c r="G14" s="23">
        <f>G15+G16+G17</f>
        <v>10350000</v>
      </c>
      <c r="H14" s="45"/>
      <c r="I14" s="45">
        <f>I15+I16+I17</f>
        <v>18000</v>
      </c>
      <c r="J14" s="51"/>
    </row>
    <row r="15" spans="1:11" ht="33.75" customHeight="1">
      <c r="A15" s="3"/>
      <c r="B15" s="20">
        <v>1</v>
      </c>
      <c r="C15" s="19" t="s">
        <v>38</v>
      </c>
      <c r="D15" s="20" t="s">
        <v>12</v>
      </c>
      <c r="E15" s="20">
        <v>15</v>
      </c>
      <c r="F15" s="24">
        <v>650000</v>
      </c>
      <c r="G15" s="24">
        <f>E15*F15</f>
        <v>9750000</v>
      </c>
      <c r="H15" s="44">
        <f>F15/K8</f>
        <v>1130.4347826086957</v>
      </c>
      <c r="I15" s="46">
        <f>E15*H15</f>
        <v>16956.521739130436</v>
      </c>
      <c r="J15" s="52"/>
    </row>
    <row r="16" spans="1:11" ht="33.75" customHeight="1">
      <c r="A16" s="3"/>
      <c r="B16" s="20">
        <v>2</v>
      </c>
      <c r="C16" s="19" t="s">
        <v>39</v>
      </c>
      <c r="D16" s="20" t="s">
        <v>17</v>
      </c>
      <c r="E16" s="20">
        <v>1</v>
      </c>
      <c r="F16" s="24">
        <f>6*100000</f>
        <v>600000</v>
      </c>
      <c r="G16" s="24">
        <f>E16*F16</f>
        <v>600000</v>
      </c>
      <c r="H16" s="44">
        <f>F16/K8</f>
        <v>1043.4782608695652</v>
      </c>
      <c r="I16" s="46">
        <f t="shared" ref="I16:I19" si="0">E16*H16</f>
        <v>1043.4782608695652</v>
      </c>
      <c r="J16" s="52"/>
    </row>
    <row r="17" spans="1:10" ht="15" customHeight="1">
      <c r="A17" s="3"/>
      <c r="B17" s="20"/>
      <c r="C17" s="19"/>
      <c r="D17" s="20"/>
      <c r="E17" s="20"/>
      <c r="F17" s="24"/>
      <c r="G17" s="24"/>
      <c r="H17" s="44"/>
      <c r="I17" s="46"/>
      <c r="J17" s="52"/>
    </row>
    <row r="18" spans="1:10" ht="22.5" customHeight="1">
      <c r="A18" s="3"/>
      <c r="B18" s="14" t="s">
        <v>13</v>
      </c>
      <c r="C18" s="13" t="s">
        <v>78</v>
      </c>
      <c r="D18" s="20"/>
      <c r="E18" s="20"/>
      <c r="F18" s="24"/>
      <c r="G18" s="25">
        <f>SUM(G19:G20)</f>
        <v>500000</v>
      </c>
      <c r="H18" s="47"/>
      <c r="I18" s="47">
        <f>SUM(I19:I20)</f>
        <v>869.56521739130437</v>
      </c>
      <c r="J18" s="52"/>
    </row>
    <row r="19" spans="1:10" ht="45.75" customHeight="1">
      <c r="A19" s="26"/>
      <c r="B19" s="20">
        <v>1</v>
      </c>
      <c r="C19" s="19" t="s">
        <v>82</v>
      </c>
      <c r="D19" s="20" t="s">
        <v>17</v>
      </c>
      <c r="E19" s="20">
        <v>1</v>
      </c>
      <c r="F19" s="24">
        <v>500000</v>
      </c>
      <c r="G19" s="24">
        <f>E19*F19</f>
        <v>500000</v>
      </c>
      <c r="H19" s="46">
        <f>F19/K8</f>
        <v>869.56521739130437</v>
      </c>
      <c r="I19" s="46">
        <f t="shared" si="0"/>
        <v>869.56521739130437</v>
      </c>
      <c r="J19" s="53"/>
    </row>
    <row r="20" spans="1:10" ht="22.5" customHeight="1">
      <c r="A20" s="26"/>
      <c r="B20" s="20"/>
      <c r="C20" s="19"/>
      <c r="D20" s="20"/>
      <c r="E20" s="20"/>
      <c r="F20" s="24"/>
      <c r="G20" s="24"/>
      <c r="H20" s="46"/>
      <c r="I20" s="46"/>
      <c r="J20" s="53"/>
    </row>
    <row r="21" spans="1:10" ht="22.5" customHeight="1">
      <c r="A21" s="27"/>
      <c r="B21" s="14" t="s">
        <v>14</v>
      </c>
      <c r="C21" s="13" t="s">
        <v>15</v>
      </c>
      <c r="D21" s="14"/>
      <c r="E21" s="14"/>
      <c r="F21" s="25"/>
      <c r="G21" s="25">
        <f>G22</f>
        <v>600000</v>
      </c>
      <c r="H21" s="47"/>
      <c r="I21" s="47">
        <f>I22</f>
        <v>1043.4782608695652</v>
      </c>
      <c r="J21" s="54"/>
    </row>
    <row r="22" spans="1:10" ht="62.25" customHeight="1">
      <c r="A22" s="26"/>
      <c r="B22" s="20">
        <v>1</v>
      </c>
      <c r="C22" s="19" t="s">
        <v>79</v>
      </c>
      <c r="D22" s="20" t="s">
        <v>17</v>
      </c>
      <c r="E22" s="20">
        <v>1</v>
      </c>
      <c r="F22" s="24">
        <v>600000</v>
      </c>
      <c r="G22" s="24">
        <f>E22*F22</f>
        <v>600000</v>
      </c>
      <c r="H22" s="46">
        <f>F22/K8</f>
        <v>1043.4782608695652</v>
      </c>
      <c r="I22" s="46">
        <f>E22*H22</f>
        <v>1043.4782608695652</v>
      </c>
      <c r="J22" s="53"/>
    </row>
    <row r="23" spans="1:10" ht="21.75" customHeight="1">
      <c r="A23" s="26"/>
      <c r="B23" s="20"/>
      <c r="C23" s="19"/>
      <c r="D23" s="20"/>
      <c r="E23" s="20"/>
      <c r="F23" s="24">
        <v>0</v>
      </c>
      <c r="G23" s="24"/>
      <c r="H23" s="46"/>
      <c r="I23" s="46"/>
      <c r="J23" s="53"/>
    </row>
    <row r="24" spans="1:10" ht="21.75" customHeight="1">
      <c r="A24" s="27"/>
      <c r="B24" s="14" t="s">
        <v>18</v>
      </c>
      <c r="C24" s="13" t="s">
        <v>19</v>
      </c>
      <c r="D24" s="14"/>
      <c r="E24" s="14"/>
      <c r="F24" s="25"/>
      <c r="G24" s="25">
        <f>G25</f>
        <v>1500000</v>
      </c>
      <c r="H24" s="47"/>
      <c r="I24" s="47">
        <f>I25</f>
        <v>2608.695652173913</v>
      </c>
      <c r="J24" s="54"/>
    </row>
    <row r="25" spans="1:10" ht="47.25" customHeight="1">
      <c r="A25" s="26"/>
      <c r="B25" s="20"/>
      <c r="C25" s="19" t="s">
        <v>80</v>
      </c>
      <c r="D25" s="20" t="s">
        <v>70</v>
      </c>
      <c r="E25" s="20">
        <f>2*5</f>
        <v>10</v>
      </c>
      <c r="F25" s="24">
        <f>150000</f>
        <v>150000</v>
      </c>
      <c r="G25" s="24">
        <f>E25*F25</f>
        <v>1500000</v>
      </c>
      <c r="H25" s="46">
        <f>F25/K8</f>
        <v>260.86956521739131</v>
      </c>
      <c r="I25" s="46">
        <f>G25/K8</f>
        <v>2608.695652173913</v>
      </c>
      <c r="J25" s="53"/>
    </row>
    <row r="26" spans="1:10" ht="21.75" customHeight="1">
      <c r="A26" s="26"/>
      <c r="B26" s="20"/>
      <c r="C26" s="19"/>
      <c r="D26" s="20"/>
      <c r="E26" s="20"/>
      <c r="F26" s="24"/>
      <c r="G26" s="24"/>
      <c r="H26" s="46"/>
      <c r="I26" s="46"/>
      <c r="J26" s="53"/>
    </row>
    <row r="27" spans="1:10" ht="33.75" customHeight="1">
      <c r="A27" s="26"/>
      <c r="B27" s="14" t="s">
        <v>20</v>
      </c>
      <c r="C27" s="13" t="s">
        <v>21</v>
      </c>
      <c r="D27" s="20"/>
      <c r="E27" s="20"/>
      <c r="F27" s="24"/>
      <c r="G27" s="25">
        <f>SUM(G28:G30)</f>
        <v>2080000</v>
      </c>
      <c r="H27" s="46"/>
      <c r="I27" s="47">
        <f>SUM(I28:I30)</f>
        <v>3617.391304347826</v>
      </c>
      <c r="J27" s="53"/>
    </row>
    <row r="28" spans="1:10" ht="33.75" customHeight="1">
      <c r="A28" s="26"/>
      <c r="B28" s="20">
        <v>1</v>
      </c>
      <c r="C28" s="19" t="s">
        <v>81</v>
      </c>
      <c r="D28" s="20" t="s">
        <v>70</v>
      </c>
      <c r="E28" s="20">
        <v>5</v>
      </c>
      <c r="F28" s="24">
        <v>200000</v>
      </c>
      <c r="G28" s="24">
        <f>E28*F28</f>
        <v>1000000</v>
      </c>
      <c r="H28" s="46">
        <f>F28/K8</f>
        <v>347.82608695652175</v>
      </c>
      <c r="I28" s="46">
        <f>E28*H28</f>
        <v>1739.1304347826087</v>
      </c>
      <c r="J28" s="53"/>
    </row>
    <row r="29" spans="1:10" ht="48.75" customHeight="1">
      <c r="A29" s="26"/>
      <c r="B29" s="20">
        <v>2</v>
      </c>
      <c r="C29" s="19" t="s">
        <v>42</v>
      </c>
      <c r="D29" s="20" t="s">
        <v>83</v>
      </c>
      <c r="E29" s="20">
        <f>2*15*5</f>
        <v>150</v>
      </c>
      <c r="F29" s="24">
        <f>4000</f>
        <v>4000</v>
      </c>
      <c r="G29" s="24">
        <f>E29*F29</f>
        <v>600000</v>
      </c>
      <c r="H29" s="46">
        <f>F29/K8</f>
        <v>6.9565217391304346</v>
      </c>
      <c r="I29" s="46">
        <f>E29*H29</f>
        <v>1043.4782608695652</v>
      </c>
      <c r="J29" s="53"/>
    </row>
    <row r="30" spans="1:10" ht="33.75" customHeight="1">
      <c r="A30" s="26"/>
      <c r="B30" s="20">
        <v>4</v>
      </c>
      <c r="C30" s="19" t="s">
        <v>23</v>
      </c>
      <c r="D30" s="20" t="s">
        <v>24</v>
      </c>
      <c r="E30" s="20">
        <v>12</v>
      </c>
      <c r="F30" s="24">
        <v>40000</v>
      </c>
      <c r="G30" s="24">
        <f>E30*F30</f>
        <v>480000</v>
      </c>
      <c r="H30" s="46">
        <f>F30/K8</f>
        <v>69.565217391304344</v>
      </c>
      <c r="I30" s="46">
        <f>E30*H30</f>
        <v>834.78260869565213</v>
      </c>
      <c r="J30" s="53"/>
    </row>
    <row r="31" spans="1:10" ht="33.75" customHeight="1">
      <c r="A31" s="26"/>
      <c r="B31" s="20"/>
      <c r="C31" s="19"/>
      <c r="D31" s="20"/>
      <c r="E31" s="20"/>
      <c r="F31" s="24"/>
      <c r="G31" s="24"/>
      <c r="H31" s="46"/>
      <c r="I31" s="46"/>
      <c r="J31" s="53"/>
    </row>
    <row r="32" spans="1:10" ht="33.75" customHeight="1">
      <c r="A32" s="26"/>
      <c r="B32" s="20"/>
      <c r="C32" s="14" t="s">
        <v>25</v>
      </c>
      <c r="D32" s="19"/>
      <c r="E32" s="20"/>
      <c r="F32" s="24"/>
      <c r="G32" s="25">
        <f>G10+G14+G18+G21+G24+G27</f>
        <v>26280000</v>
      </c>
      <c r="H32" s="47"/>
      <c r="I32" s="47">
        <f>I10+I14+I18+I21+I24+I27</f>
        <v>45704.34782608696</v>
      </c>
      <c r="J32" s="53"/>
    </row>
    <row r="33" spans="1:11" ht="33.75" customHeight="1">
      <c r="A33" s="26"/>
      <c r="B33" s="20"/>
      <c r="C33" s="14"/>
      <c r="D33" s="19"/>
      <c r="E33" s="20"/>
      <c r="F33" s="24"/>
      <c r="G33" s="25"/>
      <c r="H33" s="47"/>
      <c r="I33" s="47"/>
      <c r="J33" s="53"/>
    </row>
    <row r="34" spans="1:11" ht="33.75" customHeight="1">
      <c r="A34" s="26"/>
      <c r="B34" s="14" t="s">
        <v>18</v>
      </c>
      <c r="C34" s="28" t="s">
        <v>76</v>
      </c>
      <c r="D34" s="19"/>
      <c r="E34" s="20"/>
      <c r="F34" s="24"/>
      <c r="G34" s="25">
        <f>G32/10</f>
        <v>2628000</v>
      </c>
      <c r="H34" s="47"/>
      <c r="I34" s="47">
        <f>I32/10</f>
        <v>4570.434782608696</v>
      </c>
      <c r="J34" s="53"/>
    </row>
    <row r="35" spans="1:11" ht="33.75" customHeight="1">
      <c r="A35" s="26"/>
      <c r="B35" s="14"/>
      <c r="C35" s="28"/>
      <c r="D35" s="19"/>
      <c r="E35" s="20"/>
      <c r="F35" s="24"/>
      <c r="G35" s="25"/>
      <c r="H35" s="47"/>
      <c r="I35" s="47"/>
      <c r="J35" s="53"/>
    </row>
    <row r="36" spans="1:11" ht="33.75" customHeight="1">
      <c r="A36" s="26"/>
      <c r="B36" s="20"/>
      <c r="C36" s="14" t="s">
        <v>27</v>
      </c>
      <c r="D36" s="19"/>
      <c r="E36" s="20"/>
      <c r="F36" s="24"/>
      <c r="G36" s="25">
        <f>G32+G34</f>
        <v>28908000</v>
      </c>
      <c r="H36" s="47"/>
      <c r="I36" s="47">
        <f>I32+I34</f>
        <v>50274.782608695656</v>
      </c>
      <c r="J36" s="53"/>
    </row>
    <row r="37" spans="1:11">
      <c r="A37" s="26"/>
      <c r="B37" s="74"/>
      <c r="C37" s="74"/>
      <c r="D37" s="74"/>
      <c r="E37" s="74"/>
      <c r="F37" s="29"/>
      <c r="G37" s="30"/>
      <c r="H37" s="30"/>
      <c r="I37" s="30"/>
      <c r="J37" s="53"/>
    </row>
    <row r="38" spans="1:11" ht="15" customHeight="1">
      <c r="A38" s="31"/>
      <c r="B38" s="64"/>
      <c r="C38" s="64"/>
      <c r="D38" s="39"/>
      <c r="E38" s="31"/>
      <c r="F38" s="32"/>
      <c r="G38" s="65"/>
      <c r="H38" s="65"/>
      <c r="I38" s="65"/>
      <c r="J38" s="55"/>
    </row>
    <row r="39" spans="1:11">
      <c r="A39" s="27"/>
      <c r="B39" s="33"/>
      <c r="C39" s="27"/>
      <c r="D39" s="27"/>
      <c r="E39" s="27"/>
      <c r="F39" s="34"/>
      <c r="G39" s="40"/>
      <c r="H39" s="40"/>
      <c r="I39" s="40"/>
      <c r="J39" s="54"/>
    </row>
    <row r="40" spans="1:11">
      <c r="A40" s="27"/>
      <c r="B40" s="33"/>
      <c r="C40" s="27"/>
      <c r="D40" s="27"/>
      <c r="E40" s="27"/>
      <c r="F40" s="34"/>
      <c r="G40" s="40"/>
      <c r="H40" s="40"/>
      <c r="I40" s="40"/>
      <c r="J40" s="54"/>
    </row>
    <row r="41" spans="1:11">
      <c r="A41" s="27"/>
      <c r="B41" s="33"/>
      <c r="C41" s="27"/>
      <c r="D41" s="27"/>
      <c r="E41" s="27"/>
      <c r="F41" s="34"/>
      <c r="G41" s="40"/>
      <c r="H41" s="40"/>
      <c r="I41" s="40"/>
      <c r="J41" s="54"/>
    </row>
    <row r="42" spans="1:11">
      <c r="A42" s="27"/>
      <c r="B42" s="33"/>
      <c r="C42" s="27"/>
      <c r="D42" s="27"/>
      <c r="E42" s="27"/>
      <c r="F42" s="34"/>
      <c r="G42" s="40"/>
      <c r="H42" s="40"/>
      <c r="I42" s="40"/>
      <c r="J42" s="54"/>
    </row>
    <row r="43" spans="1:11">
      <c r="A43" s="33"/>
      <c r="B43" s="66"/>
      <c r="C43" s="66"/>
      <c r="D43" s="33"/>
      <c r="E43" s="33"/>
      <c r="F43" s="35"/>
      <c r="G43" s="66"/>
      <c r="H43" s="66"/>
      <c r="I43" s="66"/>
      <c r="J43" s="54"/>
    </row>
    <row r="44" spans="1:11">
      <c r="A44" s="3"/>
      <c r="B44" s="36"/>
      <c r="C44" s="3"/>
      <c r="D44" s="3"/>
      <c r="E44" s="3"/>
      <c r="F44" s="37"/>
      <c r="G44" s="3"/>
      <c r="H44" s="3"/>
      <c r="I44" s="3"/>
      <c r="J44" s="52"/>
    </row>
    <row r="47" spans="1:11" s="56" customFormat="1" ht="31.5" customHeight="1">
      <c r="B47" s="57"/>
      <c r="C47" s="63"/>
      <c r="D47" s="63"/>
      <c r="E47" s="63"/>
      <c r="F47" s="63"/>
      <c r="G47" s="63"/>
      <c r="H47" s="63"/>
      <c r="I47" s="63"/>
      <c r="J47" s="58"/>
      <c r="K47" s="59"/>
    </row>
    <row r="49" spans="1:11">
      <c r="A49" s="79"/>
      <c r="B49" s="79"/>
      <c r="C49" s="79"/>
      <c r="D49" s="79"/>
    </row>
    <row r="50" spans="1:11">
      <c r="A50" s="77" t="s">
        <v>61</v>
      </c>
    </row>
    <row r="51" spans="1:11">
      <c r="A51" s="78" t="s">
        <v>57</v>
      </c>
    </row>
    <row r="52" spans="1:11">
      <c r="A52" s="78" t="s">
        <v>58</v>
      </c>
    </row>
    <row r="53" spans="1:11">
      <c r="A53" s="78" t="s">
        <v>59</v>
      </c>
    </row>
    <row r="55" spans="1:11">
      <c r="A55" s="38" t="s">
        <v>60</v>
      </c>
      <c r="C55" s="38" t="s">
        <v>62</v>
      </c>
      <c r="D55" s="38" t="s">
        <v>63</v>
      </c>
      <c r="E55" s="38" t="s">
        <v>64</v>
      </c>
      <c r="F55" s="38" t="s">
        <v>65</v>
      </c>
    </row>
    <row r="56" spans="1:11" s="80" customFormat="1" ht="15.75">
      <c r="A56" s="80" t="s">
        <v>66</v>
      </c>
      <c r="J56" s="51"/>
      <c r="K56" s="81"/>
    </row>
    <row r="57" spans="1:11">
      <c r="A57" s="38" t="s">
        <v>67</v>
      </c>
      <c r="C57" s="38" t="s">
        <v>70</v>
      </c>
      <c r="D57" s="38">
        <v>3</v>
      </c>
      <c r="E57" s="38">
        <f>80000/(5*4*12)</f>
        <v>333.33333333333331</v>
      </c>
      <c r="F57" s="38">
        <f>E57*D57</f>
        <v>1000</v>
      </c>
    </row>
    <row r="58" spans="1:11">
      <c r="A58" s="38" t="s">
        <v>84</v>
      </c>
      <c r="C58" s="38" t="s">
        <v>70</v>
      </c>
      <c r="D58" s="38">
        <v>1</v>
      </c>
      <c r="E58" s="38">
        <f>E57</f>
        <v>333.33333333333331</v>
      </c>
      <c r="F58" s="38">
        <f>E58*D58</f>
        <v>333.33333333333331</v>
      </c>
    </row>
    <row r="59" spans="1:11">
      <c r="A59" s="38" t="s">
        <v>68</v>
      </c>
      <c r="C59" s="38" t="s">
        <v>70</v>
      </c>
      <c r="D59" s="38">
        <v>7</v>
      </c>
      <c r="E59" s="38">
        <f>14000/(5*4*12)</f>
        <v>58.333333333333336</v>
      </c>
      <c r="F59" s="38">
        <f>E59*D59</f>
        <v>408.33333333333337</v>
      </c>
    </row>
    <row r="60" spans="1:11" s="80" customFormat="1" ht="15.75">
      <c r="A60" s="80" t="s">
        <v>69</v>
      </c>
      <c r="J60" s="51"/>
      <c r="K60" s="81"/>
    </row>
    <row r="61" spans="1:11">
      <c r="A61" s="38" t="s">
        <v>71</v>
      </c>
      <c r="C61" s="38" t="s">
        <v>70</v>
      </c>
      <c r="D61" s="38">
        <v>14</v>
      </c>
      <c r="E61" s="38">
        <f>40000/(5*4*12)</f>
        <v>166.66666666666666</v>
      </c>
      <c r="F61" s="38">
        <f>E61*D61</f>
        <v>2333.333333333333</v>
      </c>
    </row>
    <row r="62" spans="1:11">
      <c r="A62" s="38" t="s">
        <v>72</v>
      </c>
      <c r="C62" s="38" t="s">
        <v>73</v>
      </c>
      <c r="D62" s="38">
        <v>3</v>
      </c>
      <c r="E62" s="38">
        <f>E61*5*4</f>
        <v>3333.333333333333</v>
      </c>
      <c r="F62" s="38">
        <f>E62*D62</f>
        <v>10000</v>
      </c>
    </row>
    <row r="63" spans="1:11">
      <c r="A63" s="38" t="s">
        <v>74</v>
      </c>
      <c r="C63" s="38" t="s">
        <v>73</v>
      </c>
      <c r="D63" s="38">
        <v>3</v>
      </c>
      <c r="E63" s="38">
        <f>E62</f>
        <v>3333.333333333333</v>
      </c>
      <c r="F63" s="38">
        <f>E63*D63</f>
        <v>10000</v>
      </c>
    </row>
    <row r="64" spans="1:11">
      <c r="A64" s="38" t="s">
        <v>75</v>
      </c>
      <c r="C64" s="38" t="s">
        <v>73</v>
      </c>
      <c r="D64" s="38">
        <v>12</v>
      </c>
      <c r="E64" s="38">
        <f>36000/(12)</f>
        <v>3000</v>
      </c>
      <c r="F64" s="38">
        <f>E64*D64</f>
        <v>36000</v>
      </c>
    </row>
    <row r="65" spans="1:11">
      <c r="A65" s="38" t="s">
        <v>85</v>
      </c>
    </row>
    <row r="66" spans="1:11">
      <c r="A66" s="38" t="s">
        <v>86</v>
      </c>
      <c r="C66" s="38" t="s">
        <v>73</v>
      </c>
      <c r="D66" s="38">
        <f>(20/100)*18</f>
        <v>3.6</v>
      </c>
      <c r="E66" s="38">
        <f>E64</f>
        <v>3000</v>
      </c>
      <c r="F66" s="38">
        <f>E66*D66</f>
        <v>10800</v>
      </c>
    </row>
    <row r="67" spans="1:11">
      <c r="A67" s="38" t="s">
        <v>87</v>
      </c>
      <c r="C67" s="38" t="s">
        <v>88</v>
      </c>
      <c r="D67" s="38">
        <f>(30/100)*18</f>
        <v>5.3999999999999995</v>
      </c>
      <c r="E67" s="38">
        <f>120000/12</f>
        <v>10000</v>
      </c>
      <c r="F67" s="38">
        <f>E67*D67</f>
        <v>53999.999999999993</v>
      </c>
    </row>
    <row r="68" spans="1:11">
      <c r="A68" s="38" t="s">
        <v>89</v>
      </c>
      <c r="F68" s="38">
        <f>SUM(F57:F67)</f>
        <v>124875</v>
      </c>
    </row>
    <row r="69" spans="1:11" s="80" customFormat="1" ht="15.75">
      <c r="A69" s="80" t="s">
        <v>92</v>
      </c>
      <c r="F69" s="80">
        <f>F68/10</f>
        <v>12487.5</v>
      </c>
      <c r="J69" s="51"/>
      <c r="K69" s="81"/>
    </row>
    <row r="70" spans="1:11">
      <c r="A70" s="38" t="s">
        <v>90</v>
      </c>
      <c r="F70" s="38">
        <f>F69+F68</f>
        <v>137362.5</v>
      </c>
    </row>
    <row r="71" spans="1:11" s="4" customFormat="1" ht="15.75">
      <c r="A71" s="4" t="s">
        <v>91</v>
      </c>
      <c r="F71" s="82">
        <f>F70+I36</f>
        <v>187637.28260869565</v>
      </c>
      <c r="J71" s="83"/>
      <c r="K71" s="84"/>
    </row>
  </sheetData>
  <mergeCells count="18">
    <mergeCell ref="F8:G8"/>
    <mergeCell ref="A49:D49"/>
    <mergeCell ref="C47:I47"/>
    <mergeCell ref="B2:D2"/>
    <mergeCell ref="G2:I2"/>
    <mergeCell ref="B3:D3"/>
    <mergeCell ref="G3:I3"/>
    <mergeCell ref="B6:I6"/>
    <mergeCell ref="H8:I8"/>
    <mergeCell ref="B37:E37"/>
    <mergeCell ref="B38:C38"/>
    <mergeCell ref="G38:I38"/>
    <mergeCell ref="B43:C43"/>
    <mergeCell ref="G43:I43"/>
    <mergeCell ref="B8:B9"/>
    <mergeCell ref="C8:C9"/>
    <mergeCell ref="D8:D9"/>
    <mergeCell ref="E8:E9"/>
  </mergeCells>
  <pageMargins left="0.23622047244094491" right="0.23622047244094491" top="0.74803149606299213" bottom="0.74803149606299213" header="0.31496062992125984" footer="0.31496062992125984"/>
  <pageSetup paperSize="9" scale="76" orientation="portrait" r:id="rId1"/>
  <rowBreaks count="1" manualBreakCount="1">
    <brk id="33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5</vt:i4>
      </vt:variant>
    </vt:vector>
  </HeadingPairs>
  <TitlesOfParts>
    <vt:vector size="9" baseType="lpstr">
      <vt:lpstr>Budget</vt:lpstr>
      <vt:lpstr>Budget (2)</vt:lpstr>
      <vt:lpstr>Feuil2</vt:lpstr>
      <vt:lpstr>Feuil3</vt:lpstr>
      <vt:lpstr>'Budget (2)'!OLE_LINK1</vt:lpstr>
      <vt:lpstr>Budget!Print_Area</vt:lpstr>
      <vt:lpstr>'Budget (2)'!Print_Area</vt:lpstr>
      <vt:lpstr>Budget!Print_Titles</vt:lpstr>
      <vt:lpstr>'Budget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2019-06-13T19:59:52Z</dcterms:modified>
</cp:coreProperties>
</file>